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3"/>
  </bookViews>
  <sheets>
    <sheet name="Item1" sheetId="1" r:id="rId1"/>
    <sheet name="Item2" sheetId="2" r:id="rId2"/>
    <sheet name="Item3" sheetId="3" state="hidden" r:id="rId3"/>
    <sheet name="TOTAL" sheetId="4" r:id="rId4"/>
    <sheet name="menores" sheetId="5" r:id="rId5"/>
  </sheets>
  <definedNames>
    <definedName name="_xlnm.Print_Area" localSheetId="4">menores!$A$1:$F$7</definedName>
    <definedName name="_xlnm.Print_Area" localSheetId="3">TOTAL!$A$1:$F$12</definedName>
    <definedName name="Print_Area_0" localSheetId="4">menores!$A$1:$F$7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H9" i="1"/>
  <c r="H8" i="1"/>
  <c r="H7" i="1"/>
  <c r="H6" i="1"/>
  <c r="H5" i="1"/>
  <c r="H4" i="1"/>
  <c r="H7" i="2"/>
  <c r="H6" i="2"/>
  <c r="H5" i="2"/>
  <c r="H4" i="2"/>
  <c r="H3" i="2"/>
  <c r="H3" i="1" l="1"/>
  <c r="D6" i="5" l="1"/>
  <c r="C6" i="5"/>
  <c r="B6" i="5"/>
  <c r="D4" i="5"/>
  <c r="C4" i="5"/>
  <c r="B4" i="5"/>
  <c r="D11" i="4"/>
  <c r="C11" i="4"/>
  <c r="B11" i="4"/>
  <c r="D10" i="4"/>
  <c r="C10" i="4"/>
  <c r="B10" i="4"/>
  <c r="H20" i="3"/>
  <c r="G20" i="3" s="1"/>
  <c r="F20" i="3"/>
  <c r="D20" i="3"/>
  <c r="B20" i="3"/>
  <c r="I17" i="3"/>
  <c r="I16" i="3"/>
  <c r="I15" i="3"/>
  <c r="I14" i="3"/>
  <c r="I13" i="3"/>
  <c r="I12" i="3"/>
  <c r="I11" i="3"/>
  <c r="I10" i="3"/>
  <c r="I9" i="3"/>
  <c r="I8" i="3"/>
  <c r="I7" i="3"/>
  <c r="F3" i="3"/>
  <c r="H20" i="2"/>
  <c r="G20" i="2" s="1"/>
  <c r="B5" i="5" s="1"/>
  <c r="F20" i="2"/>
  <c r="D20" i="2"/>
  <c r="B20" i="2"/>
  <c r="I17" i="2"/>
  <c r="I16" i="2"/>
  <c r="I15" i="2"/>
  <c r="I14" i="2"/>
  <c r="I13" i="2"/>
  <c r="I12" i="2"/>
  <c r="I11" i="2"/>
  <c r="I10" i="2"/>
  <c r="F3" i="2"/>
  <c r="E6" i="5" s="1"/>
  <c r="H20" i="1"/>
  <c r="G20" i="1" s="1"/>
  <c r="B3" i="5" s="1"/>
  <c r="F20" i="1"/>
  <c r="D20" i="1"/>
  <c r="B20" i="1"/>
  <c r="I17" i="1"/>
  <c r="I16" i="1"/>
  <c r="I15" i="1"/>
  <c r="I14" i="1"/>
  <c r="F3" i="1"/>
  <c r="E4" i="5" s="1"/>
  <c r="F4" i="5" s="1"/>
  <c r="F6" i="5" l="1"/>
  <c r="F7" i="5" s="1"/>
  <c r="A20" i="1"/>
  <c r="A20" i="3"/>
  <c r="C20" i="3" s="1"/>
  <c r="A20" i="2"/>
  <c r="C20" i="2" s="1"/>
  <c r="I9" i="2" l="1"/>
  <c r="I8" i="2"/>
  <c r="C20" i="1"/>
  <c r="I13" i="1" s="1"/>
  <c r="I4" i="3"/>
  <c r="E20" i="3" s="1"/>
  <c r="I3" i="3"/>
  <c r="I6" i="3"/>
  <c r="I5" i="3"/>
  <c r="I6" i="2"/>
  <c r="I5" i="2"/>
  <c r="I4" i="2"/>
  <c r="I3" i="2"/>
  <c r="I7" i="2"/>
  <c r="I11" i="1" l="1"/>
  <c r="I12" i="1"/>
  <c r="I5" i="1"/>
  <c r="I10" i="1"/>
  <c r="I9" i="1"/>
  <c r="I8" i="1"/>
  <c r="I7" i="1"/>
  <c r="I6" i="1"/>
  <c r="E20" i="2"/>
  <c r="H22" i="2" s="1"/>
  <c r="H23" i="2" s="1"/>
  <c r="I4" i="1"/>
  <c r="I3" i="1"/>
  <c r="E3" i="3"/>
  <c r="H22" i="3"/>
  <c r="H23" i="3" s="1"/>
  <c r="E3" i="2" l="1"/>
  <c r="E11" i="4" s="1"/>
  <c r="F11" i="4" s="1"/>
  <c r="E20" i="1"/>
  <c r="E3" i="1" s="1"/>
  <c r="E10" i="4" s="1"/>
  <c r="F10" i="4" s="1"/>
  <c r="H22" i="1" l="1"/>
  <c r="H23" i="1" s="1"/>
  <c r="F12" i="4"/>
</calcChain>
</file>

<file path=xl/sharedStrings.xml><?xml version="1.0" encoding="utf-8"?>
<sst xmlns="http://schemas.openxmlformats.org/spreadsheetml/2006/main" count="121" uniqueCount="58">
  <si>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</si>
  <si>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</si>
  <si>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</si>
  <si>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</si>
  <si>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</si>
  <si>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</si>
  <si>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</si>
  <si>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</si>
  <si>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</si>
  <si>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</si>
  <si>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unidade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</si>
  <si>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</si>
  <si>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</si>
  <si>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</si>
  <si>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</si>
  <si>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</si>
  <si>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</si>
  <si>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</si>
  <si>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</si>
  <si>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</si>
  <si>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</si>
  <si>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</si>
  <si>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</si>
  <si>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</si>
  <si>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</si>
  <si>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</si>
  <si>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</si>
  <si>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</si>
  <si>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</si>
  <si>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Locação de Grupo Gerador de 80 KVA/64KW 60Hz (Stand –By) ou superior, em carenagem silenciada, IP 23 ou superior, formado por um motor diesel, dotado de regulador isócrono de velocidade e tanque de combustível montado no chassi, com capacidade de 8 (oito) horas de funcionamento em plena carga, entregue cheio. Gerador com distorção harmônica menor que 5%, isolação classe ”H” ou superior, trifásico com tensão de 220/127 V (neutro acessível) com regulador eletrônico de tensão e disjuntor termomagnético de proteção ou superior técnico, Quadro de transferência automática independente e sistema de proteção de alta temperatura, baixa pressão de óleo lubrificante, sobrevelocidade e subvelocidade, monitoramento ativo de tensão, frequência, corrente, potência, fator de potência, distorção harmônica, além de botão de emergência e partida remota. Distâncias estimadas dos lances de cabos: -Entre o GRUPO GERADOR e o QTA EXTERNO – aproximadamente 12 m: -Entre o QTA EXTERNO e o QGBT – 12m. Corrente Máxima por Fase estimada: 100 A (a responsabilidade pelo dimensionamento é da CONTRATADA, para a qual é facultada visita ao local). Deverá ser instalado no CAT (Centro de Apoio Técnico) do TRE-BA, na Rodovia BR 324, Porto Seco Pirajá, Salvador-Bahia.</t>
  </si>
  <si>
    <t>12.342.574/0001-27 LISBOA CONSTRUCOES</t>
  </si>
  <si>
    <t>33.845.322/0001-90 A GERADORA ALUGUEL</t>
  </si>
  <si>
    <t>08.100.057/0001-74 TECNOGERA LOCACAO</t>
  </si>
  <si>
    <t>73.734.048/0001-05 PORTUGAL LOCACAO DE MAQUINAS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</si>
  <si>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</si>
  <si>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</si>
  <si>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</si>
  <si>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</si>
  <si>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</si>
  <si>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</si>
  <si>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</si>
  <si>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</si>
  <si>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TRIBUNAL REGIONAL ELEITORAL DA BAHIA</t>
  </si>
  <si>
    <t>Seção de Análise e Aquisições</t>
  </si>
  <si>
    <t>MENORES PREÇOS OFERTADOS</t>
  </si>
  <si>
    <t>Fornec.</t>
  </si>
  <si>
    <t>VALOR TOTAL - MENORES PREÇOS OFERTADOS</t>
  </si>
  <si>
    <t>Publicação de aviso de licitação em jornal diário de grande circulação no estado da Bahia, com o formato de 2 col x 5 cm, por 01 (um) dia, em dia útil.</t>
  </si>
  <si>
    <t>Publicação de aviso de licitação em jornal diário de grande circulação nacional, com o formato de 2 col x 5 cm, por 01 (um) dia, em dia útil.</t>
  </si>
  <si>
    <t>92.785.989/0001-04 EMPRESA JORNALISTICA J.C. JARROS LTDA.</t>
  </si>
  <si>
    <t>01.527.405/0001-45 W&amp;M PUBLICIDADE LTDA</t>
  </si>
  <si>
    <t>00.662.315/0001-02 PHABRICA DE PRODUCOES SERVICOS DE PROPAGANDA E PUBLICID</t>
  </si>
  <si>
    <t>17.253.016/0001-09 H W BRASIL SERVICO E CONSULTORIA EIRELI</t>
  </si>
  <si>
    <t>08.602.474/0001-15 COSTA &amp; PAES LTDA</t>
  </si>
  <si>
    <t>06.880.466/0001-05 RICCI DIARIOS, PUBLICACOES E AGENCIAMENTO LTDA</t>
  </si>
  <si>
    <t>28.166.476/0001-16 1 UM LEGAL PUBLICIDADE E MARKETING LTDA</t>
  </si>
  <si>
    <t>18.876.112/0001-76 GIBBOR PUBLICIDADE E PUBLICACOES DE EDITAIS EIRELI</t>
  </si>
  <si>
    <t>03.458.001/0001-72 ADINP PUBLICIDADE E MARKETING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</si>
</sst>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8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1" fillId="9" borderId="2" xfId="0" applyFont="1" applyFill="1" applyBorder="1" applyAlignment="1">
      <alignment horizontal="center" wrapText="1"/>
    </xf>
    <xf numFmtId="0" fontId="11" fillId="0" borderId="0" xfId="0" applyFont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4010025</xdr:colOff>
      <xdr:row>0</xdr:row>
      <xdr:rowOff>0</xdr:rowOff>
    </xdr:from>
    <xdr:to>
      <xdr:col>1</xdr:col>
      <xdr:colOff>4775790</xdr:colOff>
      <xdr:row>4</xdr:row>
      <xdr:rowOff>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619625" y="0"/>
          <a:ext cx="765765" cy="8001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5" t="s">
        <v>0</v>
      </c>
      <c r="B1" s="45"/>
      <c r="C1" s="45"/>
      <c r="D1" s="45"/>
      <c r="E1" s="45"/>
      <c r="F1" s="45"/>
      <c r="G1" s="45"/>
      <c r="H1" s="45"/>
      <c r="I1" s="45"/>
    </row>
    <row r="2" spans="1:9" ht="25.5">
      <c r="A2" s="46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6"/>
      <c r="B3" s="47" t="s">
        <v>47</v>
      </c>
      <c r="C3" s="48" t="s">
        <v>10</v>
      </c>
      <c r="D3" s="49">
        <v>15</v>
      </c>
      <c r="E3" s="50">
        <f>IF(C20&lt;=25%,D20,MIN(E20:F20))</f>
        <v>239.4</v>
      </c>
      <c r="F3" s="50">
        <f>MIN(H3:H17)</f>
        <v>187.5</v>
      </c>
      <c r="G3" s="6" t="s">
        <v>49</v>
      </c>
      <c r="H3" s="7">
        <f>(37500/2000)*10</f>
        <v>187.5</v>
      </c>
      <c r="I3" s="8">
        <f t="shared" ref="I3:I17" si="0">IF(H3="","",(IF($C$20&lt;25%,"N/A",IF(H3&lt;=($D$20+$A$20),H3,"Descartado"))))</f>
        <v>187.5</v>
      </c>
    </row>
    <row r="4" spans="1:9">
      <c r="A4" s="46"/>
      <c r="B4" s="47"/>
      <c r="C4" s="48"/>
      <c r="D4" s="49"/>
      <c r="E4" s="50"/>
      <c r="F4" s="50"/>
      <c r="G4" s="6" t="s">
        <v>51</v>
      </c>
      <c r="H4" s="7">
        <f>(40000/2000)*10</f>
        <v>200</v>
      </c>
      <c r="I4" s="8">
        <f t="shared" si="0"/>
        <v>200</v>
      </c>
    </row>
    <row r="5" spans="1:9">
      <c r="A5" s="46"/>
      <c r="B5" s="47"/>
      <c r="C5" s="48"/>
      <c r="D5" s="49"/>
      <c r="E5" s="50"/>
      <c r="F5" s="50"/>
      <c r="G5" s="6" t="s">
        <v>52</v>
      </c>
      <c r="H5" s="7">
        <f>53*10</f>
        <v>530</v>
      </c>
      <c r="I5" s="8">
        <f t="shared" si="0"/>
        <v>530</v>
      </c>
    </row>
    <row r="6" spans="1:9">
      <c r="A6" s="46"/>
      <c r="B6" s="47"/>
      <c r="C6" s="48"/>
      <c r="D6" s="49"/>
      <c r="E6" s="50"/>
      <c r="F6" s="50"/>
      <c r="G6" s="6" t="s">
        <v>53</v>
      </c>
      <c r="H6" s="7">
        <f>88*10</f>
        <v>880</v>
      </c>
      <c r="I6" s="8" t="str">
        <f t="shared" si="0"/>
        <v>Descartado</v>
      </c>
    </row>
    <row r="7" spans="1:9">
      <c r="A7" s="46"/>
      <c r="B7" s="47"/>
      <c r="C7" s="48"/>
      <c r="D7" s="49"/>
      <c r="E7" s="50"/>
      <c r="F7" s="50"/>
      <c r="G7" s="6" t="s">
        <v>55</v>
      </c>
      <c r="H7" s="7">
        <f>4899/25</f>
        <v>195.96</v>
      </c>
      <c r="I7" s="8">
        <f t="shared" si="0"/>
        <v>195.96</v>
      </c>
    </row>
    <row r="8" spans="1:9">
      <c r="A8" s="46"/>
      <c r="B8" s="47"/>
      <c r="C8" s="48"/>
      <c r="D8" s="49"/>
      <c r="E8" s="50"/>
      <c r="F8" s="50"/>
      <c r="G8" s="6" t="s">
        <v>56</v>
      </c>
      <c r="H8" s="7">
        <f>7325/25</f>
        <v>293</v>
      </c>
      <c r="I8" s="8">
        <f t="shared" si="0"/>
        <v>293</v>
      </c>
    </row>
    <row r="9" spans="1:9">
      <c r="A9" s="46"/>
      <c r="B9" s="47"/>
      <c r="C9" s="48"/>
      <c r="D9" s="49"/>
      <c r="E9" s="50"/>
      <c r="F9" s="50"/>
      <c r="G9" s="6" t="s">
        <v>50</v>
      </c>
      <c r="H9" s="7">
        <f>4880/25</f>
        <v>195.2</v>
      </c>
      <c r="I9" s="8">
        <f t="shared" si="0"/>
        <v>195.2</v>
      </c>
    </row>
    <row r="10" spans="1:9">
      <c r="A10" s="46"/>
      <c r="B10" s="47"/>
      <c r="C10" s="48"/>
      <c r="D10" s="49"/>
      <c r="E10" s="50"/>
      <c r="F10" s="50"/>
      <c r="G10" s="6" t="s">
        <v>54</v>
      </c>
      <c r="H10" s="7">
        <f>6970/25</f>
        <v>278.8</v>
      </c>
      <c r="I10" s="8">
        <f t="shared" si="0"/>
        <v>278.8</v>
      </c>
    </row>
    <row r="11" spans="1:9">
      <c r="A11" s="46"/>
      <c r="B11" s="47"/>
      <c r="C11" s="48"/>
      <c r="D11" s="49"/>
      <c r="E11" s="50"/>
      <c r="F11" s="50"/>
      <c r="G11" s="6"/>
      <c r="H11" s="7"/>
      <c r="I11" s="8" t="str">
        <f t="shared" si="0"/>
        <v/>
      </c>
    </row>
    <row r="12" spans="1:9">
      <c r="A12" s="46"/>
      <c r="B12" s="47"/>
      <c r="C12" s="48"/>
      <c r="D12" s="49"/>
      <c r="E12" s="50"/>
      <c r="F12" s="50"/>
      <c r="G12" s="6"/>
      <c r="H12" s="7"/>
      <c r="I12" s="8" t="str">
        <f t="shared" si="0"/>
        <v/>
      </c>
    </row>
    <row r="13" spans="1:9">
      <c r="A13" s="46"/>
      <c r="B13" s="47"/>
      <c r="C13" s="48"/>
      <c r="D13" s="49"/>
      <c r="E13" s="50"/>
      <c r="F13" s="50"/>
      <c r="G13" s="6"/>
      <c r="H13" s="7"/>
      <c r="I13" s="8" t="str">
        <f t="shared" si="0"/>
        <v/>
      </c>
    </row>
    <row r="14" spans="1:9">
      <c r="A14" s="46"/>
      <c r="B14" s="47"/>
      <c r="C14" s="48"/>
      <c r="D14" s="49"/>
      <c r="E14" s="50"/>
      <c r="F14" s="50"/>
      <c r="G14" s="6"/>
      <c r="H14" s="7"/>
      <c r="I14" s="8" t="str">
        <f t="shared" si="0"/>
        <v/>
      </c>
    </row>
    <row r="15" spans="1:9">
      <c r="A15" s="46"/>
      <c r="B15" s="47"/>
      <c r="C15" s="48"/>
      <c r="D15" s="49"/>
      <c r="E15" s="50"/>
      <c r="F15" s="50"/>
      <c r="G15" s="6"/>
      <c r="H15" s="7"/>
      <c r="I15" s="8" t="str">
        <f t="shared" si="0"/>
        <v/>
      </c>
    </row>
    <row r="16" spans="1:9">
      <c r="A16" s="46"/>
      <c r="B16" s="47"/>
      <c r="C16" s="48"/>
      <c r="D16" s="49"/>
      <c r="E16" s="50"/>
      <c r="F16" s="50"/>
      <c r="G16" s="6"/>
      <c r="H16" s="7"/>
      <c r="I16" s="8" t="str">
        <f t="shared" si="0"/>
        <v/>
      </c>
    </row>
    <row r="17" spans="1:11">
      <c r="A17" s="46"/>
      <c r="B17" s="47"/>
      <c r="C17" s="48"/>
      <c r="D17" s="49"/>
      <c r="E17" s="50"/>
      <c r="F17" s="5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11</v>
      </c>
      <c r="B19" s="5" t="s">
        <v>12</v>
      </c>
      <c r="C19" s="4" t="s">
        <v>13</v>
      </c>
      <c r="D19" s="16" t="s">
        <v>14</v>
      </c>
      <c r="E19" s="17" t="s">
        <v>15</v>
      </c>
      <c r="F19" s="16" t="s">
        <v>16</v>
      </c>
      <c r="G19" s="51" t="s">
        <v>17</v>
      </c>
      <c r="H19" s="51"/>
      <c r="I19" s="18"/>
    </row>
    <row r="20" spans="1:11">
      <c r="A20" s="19">
        <f>IF(B20&lt;2,"N/A",(STDEV(H3:H17)))</f>
        <v>244.37109518984786</v>
      </c>
      <c r="B20" s="19">
        <f>COUNT(H3:H17)</f>
        <v>8</v>
      </c>
      <c r="C20" s="20">
        <f>IF(B20&lt;2,"N/A",(A20/D20))</f>
        <v>0.70819885002564154</v>
      </c>
      <c r="D20" s="21">
        <f>ROUND(AVERAGE(H3:H17),2)</f>
        <v>345.06</v>
      </c>
      <c r="E20" s="22">
        <f>IFERROR(ROUND(IF(B20&lt;2,"N/A",(IF(C20&lt;=25%,"N/A",AVERAGE(I3:I17)))),2),"N/A")</f>
        <v>268.64</v>
      </c>
      <c r="F20" s="22">
        <f>ROUND(MEDIAN(H3:H17),2)</f>
        <v>239.4</v>
      </c>
      <c r="G20" s="23" t="str">
        <f>INDEX(G3:G17,MATCH(H20,H3:H17,0))</f>
        <v>92.785.989/0001-04 EMPRESA JORNALISTICA J.C. JARROS LTDA.</v>
      </c>
      <c r="H20" s="24">
        <f>MIN(H3:H17)</f>
        <v>187.5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2"/>
      <c r="E22" s="52"/>
      <c r="F22" s="30"/>
      <c r="G22" s="31" t="s">
        <v>18</v>
      </c>
      <c r="H22" s="32">
        <f>IF(C20&lt;=25%,D20,MIN(E20:F20))</f>
        <v>239.4</v>
      </c>
    </row>
    <row r="23" spans="1:11">
      <c r="B23" s="25"/>
      <c r="C23" s="25"/>
      <c r="D23" s="52"/>
      <c r="E23" s="52"/>
      <c r="F23" s="33"/>
      <c r="G23" s="4" t="s">
        <v>19</v>
      </c>
      <c r="H23" s="24">
        <f>ROUND(H22,2)*D3</f>
        <v>3591</v>
      </c>
    </row>
    <row r="24" spans="1:11">
      <c r="B24" s="29"/>
      <c r="C24" s="29"/>
      <c r="D24" s="18"/>
      <c r="E24" s="18"/>
    </row>
    <row r="26" spans="1:11" ht="12.75" customHeight="1">
      <c r="A26" s="53" t="s">
        <v>20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21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22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23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24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25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26</v>
      </c>
      <c r="B32" s="54"/>
      <c r="C32" s="54"/>
      <c r="D32" s="54"/>
      <c r="E32" s="54"/>
      <c r="F32" s="54"/>
      <c r="G32" s="54"/>
      <c r="H32" s="54"/>
      <c r="I32" s="5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8" sqref="H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5" t="s">
        <v>0</v>
      </c>
      <c r="B1" s="45"/>
      <c r="C1" s="45"/>
      <c r="D1" s="45"/>
      <c r="E1" s="45"/>
      <c r="F1" s="45"/>
      <c r="G1" s="45"/>
      <c r="H1" s="45"/>
      <c r="I1" s="45"/>
    </row>
    <row r="2" spans="1:9" ht="25.5">
      <c r="A2" s="46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6"/>
      <c r="B3" s="47" t="s">
        <v>48</v>
      </c>
      <c r="C3" s="48" t="s">
        <v>10</v>
      </c>
      <c r="D3" s="49">
        <v>160</v>
      </c>
      <c r="E3" s="50">
        <f>IF(C20&lt;=25%,D20,MIN(E20:F20))</f>
        <v>383.99</v>
      </c>
      <c r="F3" s="50">
        <f>MIN(H3:H17)</f>
        <v>352</v>
      </c>
      <c r="G3" s="6" t="s">
        <v>55</v>
      </c>
      <c r="H3" s="7">
        <f>8999/25</f>
        <v>359.96</v>
      </c>
      <c r="I3" s="8">
        <f t="shared" ref="I3:I17" si="0">IF(H3="","",(IF($C$20&lt;25%,"N/A",IF(H3&lt;=($D$20+$A$20),H3,"Descartado"))))</f>
        <v>359.96</v>
      </c>
    </row>
    <row r="4" spans="1:9">
      <c r="A4" s="46"/>
      <c r="B4" s="47"/>
      <c r="C4" s="48"/>
      <c r="D4" s="49"/>
      <c r="E4" s="50"/>
      <c r="F4" s="50"/>
      <c r="G4" s="6" t="s">
        <v>56</v>
      </c>
      <c r="H4" s="7">
        <f>33400/25</f>
        <v>1336</v>
      </c>
      <c r="I4" s="8" t="str">
        <f t="shared" si="0"/>
        <v>Descartado</v>
      </c>
    </row>
    <row r="5" spans="1:9">
      <c r="A5" s="46"/>
      <c r="B5" s="47"/>
      <c r="C5" s="48"/>
      <c r="D5" s="49"/>
      <c r="E5" s="50"/>
      <c r="F5" s="50"/>
      <c r="G5" s="6" t="s">
        <v>50</v>
      </c>
      <c r="H5" s="7">
        <f>8800/25</f>
        <v>352</v>
      </c>
      <c r="I5" s="8">
        <f t="shared" si="0"/>
        <v>352</v>
      </c>
    </row>
    <row r="6" spans="1:9">
      <c r="A6" s="46"/>
      <c r="B6" s="47"/>
      <c r="C6" s="48"/>
      <c r="D6" s="49"/>
      <c r="E6" s="50"/>
      <c r="F6" s="50"/>
      <c r="G6" s="6" t="s">
        <v>57</v>
      </c>
      <c r="H6" s="7">
        <f>11000/25</f>
        <v>440</v>
      </c>
      <c r="I6" s="8">
        <f t="shared" si="0"/>
        <v>440</v>
      </c>
    </row>
    <row r="7" spans="1:9">
      <c r="A7" s="46"/>
      <c r="B7" s="47"/>
      <c r="C7" s="48"/>
      <c r="D7" s="49"/>
      <c r="E7" s="50"/>
      <c r="F7" s="50"/>
      <c r="G7" s="6" t="s">
        <v>54</v>
      </c>
      <c r="H7" s="7">
        <f>32840/25</f>
        <v>1313.6</v>
      </c>
      <c r="I7" s="8" t="str">
        <f t="shared" si="0"/>
        <v>Descartado</v>
      </c>
    </row>
    <row r="8" spans="1:9">
      <c r="A8" s="46"/>
      <c r="B8" s="47"/>
      <c r="C8" s="48"/>
      <c r="D8" s="49"/>
      <c r="E8" s="50"/>
      <c r="F8" s="50"/>
      <c r="G8" s="6"/>
      <c r="H8" s="7"/>
      <c r="I8" s="8" t="str">
        <f t="shared" si="0"/>
        <v/>
      </c>
    </row>
    <row r="9" spans="1:9">
      <c r="A9" s="46"/>
      <c r="B9" s="47"/>
      <c r="C9" s="48"/>
      <c r="D9" s="49"/>
      <c r="E9" s="50"/>
      <c r="F9" s="50"/>
      <c r="G9" s="6"/>
      <c r="H9" s="7"/>
      <c r="I9" s="8" t="str">
        <f t="shared" si="0"/>
        <v/>
      </c>
    </row>
    <row r="10" spans="1:9">
      <c r="A10" s="46"/>
      <c r="B10" s="47"/>
      <c r="C10" s="48"/>
      <c r="D10" s="49"/>
      <c r="E10" s="50"/>
      <c r="F10" s="50"/>
      <c r="G10" s="6"/>
      <c r="H10" s="7"/>
      <c r="I10" s="8" t="str">
        <f t="shared" si="0"/>
        <v/>
      </c>
    </row>
    <row r="11" spans="1:9">
      <c r="A11" s="46"/>
      <c r="B11" s="47"/>
      <c r="C11" s="48"/>
      <c r="D11" s="49"/>
      <c r="E11" s="50"/>
      <c r="F11" s="50"/>
      <c r="G11" s="6"/>
      <c r="H11" s="7"/>
      <c r="I11" s="8" t="str">
        <f t="shared" si="0"/>
        <v/>
      </c>
    </row>
    <row r="12" spans="1:9">
      <c r="A12" s="46"/>
      <c r="B12" s="47"/>
      <c r="C12" s="48"/>
      <c r="D12" s="49"/>
      <c r="E12" s="50"/>
      <c r="F12" s="50"/>
      <c r="G12" s="6"/>
      <c r="H12" s="7"/>
      <c r="I12" s="8" t="str">
        <f t="shared" si="0"/>
        <v/>
      </c>
    </row>
    <row r="13" spans="1:9">
      <c r="A13" s="46"/>
      <c r="B13" s="47"/>
      <c r="C13" s="48"/>
      <c r="D13" s="49"/>
      <c r="E13" s="50"/>
      <c r="F13" s="50"/>
      <c r="G13" s="6"/>
      <c r="H13" s="7"/>
      <c r="I13" s="8" t="str">
        <f t="shared" si="0"/>
        <v/>
      </c>
    </row>
    <row r="14" spans="1:9">
      <c r="A14" s="46"/>
      <c r="B14" s="47"/>
      <c r="C14" s="48"/>
      <c r="D14" s="49"/>
      <c r="E14" s="50"/>
      <c r="F14" s="50"/>
      <c r="G14" s="6"/>
      <c r="H14" s="7"/>
      <c r="I14" s="8" t="str">
        <f t="shared" si="0"/>
        <v/>
      </c>
    </row>
    <row r="15" spans="1:9">
      <c r="A15" s="46"/>
      <c r="B15" s="47"/>
      <c r="C15" s="48"/>
      <c r="D15" s="49"/>
      <c r="E15" s="50"/>
      <c r="F15" s="50"/>
      <c r="G15" s="6"/>
      <c r="H15" s="7"/>
      <c r="I15" s="8" t="str">
        <f t="shared" si="0"/>
        <v/>
      </c>
    </row>
    <row r="16" spans="1:9">
      <c r="A16" s="46"/>
      <c r="B16" s="47"/>
      <c r="C16" s="48"/>
      <c r="D16" s="49"/>
      <c r="E16" s="50"/>
      <c r="F16" s="50"/>
      <c r="G16" s="6"/>
      <c r="H16" s="7"/>
      <c r="I16" s="8" t="str">
        <f t="shared" si="0"/>
        <v/>
      </c>
    </row>
    <row r="17" spans="1:11">
      <c r="A17" s="46"/>
      <c r="B17" s="47"/>
      <c r="C17" s="48"/>
      <c r="D17" s="49"/>
      <c r="E17" s="50"/>
      <c r="F17" s="5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11</v>
      </c>
      <c r="B19" s="5" t="s">
        <v>12</v>
      </c>
      <c r="C19" s="4" t="s">
        <v>13</v>
      </c>
      <c r="D19" s="16" t="s">
        <v>14</v>
      </c>
      <c r="E19" s="17" t="s">
        <v>15</v>
      </c>
      <c r="F19" s="16" t="s">
        <v>16</v>
      </c>
      <c r="G19" s="51" t="s">
        <v>17</v>
      </c>
      <c r="H19" s="51"/>
      <c r="I19" s="18"/>
    </row>
    <row r="20" spans="1:11">
      <c r="A20" s="19">
        <f>IF(B20&lt;2,"N/A",(STDEV(H3:H17)))</f>
        <v>516.5134254983119</v>
      </c>
      <c r="B20" s="19">
        <f>COUNT(H3:H17)</f>
        <v>5</v>
      </c>
      <c r="C20" s="20">
        <f>IF(B20&lt;2,"N/A",(A20/D20))</f>
        <v>0.67934582670004595</v>
      </c>
      <c r="D20" s="21">
        <f>ROUND(AVERAGE(H3:H17),2)</f>
        <v>760.31</v>
      </c>
      <c r="E20" s="22">
        <f>IFERROR(ROUND(IF(B20&lt;2,"N/A",(IF(C20&lt;=25%,"N/A",AVERAGE(I3:I17)))),2),"N/A")</f>
        <v>383.99</v>
      </c>
      <c r="F20" s="22">
        <f>ROUND(MEDIAN(H3:H17),2)</f>
        <v>440</v>
      </c>
      <c r="G20" s="23" t="str">
        <f>INDEX(G3:G17,MATCH(H20,H3:H17,0))</f>
        <v>01.527.405/0001-45 W&amp;M PUBLICIDADE LTDA</v>
      </c>
      <c r="H20" s="24">
        <f>MIN(H3:H17)</f>
        <v>352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2"/>
      <c r="E22" s="52"/>
      <c r="F22" s="30"/>
      <c r="G22" s="31" t="s">
        <v>18</v>
      </c>
      <c r="H22" s="32">
        <f>IF(C20&lt;=25%,D20,MIN(E20:F20))</f>
        <v>383.99</v>
      </c>
    </row>
    <row r="23" spans="1:11">
      <c r="B23" s="25"/>
      <c r="C23" s="25"/>
      <c r="D23" s="52"/>
      <c r="E23" s="52"/>
      <c r="F23" s="33"/>
      <c r="G23" s="4" t="s">
        <v>19</v>
      </c>
      <c r="H23" s="24">
        <f>ROUND(H22,2)*D3</f>
        <v>61438.400000000001</v>
      </c>
    </row>
    <row r="24" spans="1:11">
      <c r="B24" s="29"/>
      <c r="C24" s="29"/>
      <c r="D24" s="18"/>
      <c r="E24" s="18"/>
    </row>
    <row r="26" spans="1:11" ht="12.75" customHeight="1">
      <c r="A26" s="53" t="s">
        <v>20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21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22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23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24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25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26</v>
      </c>
      <c r="B32" s="54"/>
      <c r="C32" s="54"/>
      <c r="D32" s="54"/>
      <c r="E32" s="54"/>
      <c r="F32" s="54"/>
      <c r="G32" s="54"/>
      <c r="H32" s="54"/>
      <c r="I32" s="5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C1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5" t="s">
        <v>0</v>
      </c>
      <c r="B1" s="45"/>
      <c r="C1" s="45"/>
      <c r="D1" s="45"/>
      <c r="E1" s="45"/>
      <c r="F1" s="45"/>
      <c r="G1" s="45"/>
      <c r="H1" s="45"/>
      <c r="I1" s="45"/>
    </row>
    <row r="2" spans="1:9" ht="25.5">
      <c r="A2" s="46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6"/>
      <c r="B3" s="47" t="s">
        <v>29</v>
      </c>
      <c r="C3" s="48" t="s">
        <v>10</v>
      </c>
      <c r="D3" s="49">
        <v>1</v>
      </c>
      <c r="E3" s="50">
        <f>IF(C20&lt;=25%,D20,MIN(E20:F20))</f>
        <v>17846.25</v>
      </c>
      <c r="F3" s="50">
        <f>MIN(H3:H17)</f>
        <v>4076</v>
      </c>
      <c r="G3" s="6" t="s">
        <v>30</v>
      </c>
      <c r="H3" s="7">
        <v>22800</v>
      </c>
      <c r="I3" s="8">
        <f t="shared" ref="I3:I17" si="0">IF(H3="","",(IF($C$20&lt;25%,"N/A",IF(H3&lt;=($D$20+$A$20),H3,"Descartado"))))</f>
        <v>22800</v>
      </c>
    </row>
    <row r="4" spans="1:9">
      <c r="A4" s="46"/>
      <c r="B4" s="47"/>
      <c r="C4" s="48"/>
      <c r="D4" s="49"/>
      <c r="E4" s="50"/>
      <c r="F4" s="50"/>
      <c r="G4" s="6" t="s">
        <v>31</v>
      </c>
      <c r="H4" s="7">
        <v>4076</v>
      </c>
      <c r="I4" s="8">
        <f t="shared" si="0"/>
        <v>4076</v>
      </c>
    </row>
    <row r="5" spans="1:9">
      <c r="A5" s="46"/>
      <c r="B5" s="47"/>
      <c r="C5" s="48"/>
      <c r="D5" s="49"/>
      <c r="E5" s="50"/>
      <c r="F5" s="50"/>
      <c r="G5" s="6" t="s">
        <v>32</v>
      </c>
      <c r="H5" s="7">
        <v>25510</v>
      </c>
      <c r="I5" s="8">
        <f t="shared" si="0"/>
        <v>25510</v>
      </c>
    </row>
    <row r="6" spans="1:9">
      <c r="A6" s="46"/>
      <c r="B6" s="47"/>
      <c r="C6" s="48"/>
      <c r="D6" s="49"/>
      <c r="E6" s="50"/>
      <c r="F6" s="50"/>
      <c r="G6" s="6" t="s">
        <v>33</v>
      </c>
      <c r="H6" s="7">
        <v>18999</v>
      </c>
      <c r="I6" s="8">
        <f t="shared" si="0"/>
        <v>18999</v>
      </c>
    </row>
    <row r="7" spans="1:9">
      <c r="A7" s="46"/>
      <c r="B7" s="47"/>
      <c r="C7" s="48"/>
      <c r="D7" s="49"/>
      <c r="E7" s="50"/>
      <c r="F7" s="50"/>
      <c r="G7" s="6"/>
      <c r="H7" s="7"/>
      <c r="I7" s="8" t="str">
        <f t="shared" si="0"/>
        <v/>
      </c>
    </row>
    <row r="8" spans="1:9">
      <c r="A8" s="46"/>
      <c r="B8" s="47"/>
      <c r="C8" s="48"/>
      <c r="D8" s="49"/>
      <c r="E8" s="50"/>
      <c r="F8" s="50"/>
      <c r="G8" s="6"/>
      <c r="H8" s="7"/>
      <c r="I8" s="8" t="str">
        <f t="shared" si="0"/>
        <v/>
      </c>
    </row>
    <row r="9" spans="1:9">
      <c r="A9" s="46"/>
      <c r="B9" s="47"/>
      <c r="C9" s="48"/>
      <c r="D9" s="49"/>
      <c r="E9" s="50"/>
      <c r="F9" s="50"/>
      <c r="G9" s="6"/>
      <c r="H9" s="7"/>
      <c r="I9" s="8" t="str">
        <f t="shared" si="0"/>
        <v/>
      </c>
    </row>
    <row r="10" spans="1:9">
      <c r="A10" s="46"/>
      <c r="B10" s="47"/>
      <c r="C10" s="48"/>
      <c r="D10" s="49"/>
      <c r="E10" s="50"/>
      <c r="F10" s="50"/>
      <c r="G10" s="6"/>
      <c r="H10" s="7"/>
      <c r="I10" s="8" t="str">
        <f t="shared" si="0"/>
        <v/>
      </c>
    </row>
    <row r="11" spans="1:9">
      <c r="A11" s="46"/>
      <c r="B11" s="47"/>
      <c r="C11" s="48"/>
      <c r="D11" s="49"/>
      <c r="E11" s="50"/>
      <c r="F11" s="50"/>
      <c r="G11" s="6"/>
      <c r="H11" s="7"/>
      <c r="I11" s="8" t="str">
        <f t="shared" si="0"/>
        <v/>
      </c>
    </row>
    <row r="12" spans="1:9">
      <c r="A12" s="46"/>
      <c r="B12" s="47"/>
      <c r="C12" s="48"/>
      <c r="D12" s="49"/>
      <c r="E12" s="50"/>
      <c r="F12" s="50"/>
      <c r="G12" s="6"/>
      <c r="H12" s="7"/>
      <c r="I12" s="8" t="str">
        <f t="shared" si="0"/>
        <v/>
      </c>
    </row>
    <row r="13" spans="1:9">
      <c r="A13" s="46"/>
      <c r="B13" s="47"/>
      <c r="C13" s="48"/>
      <c r="D13" s="49"/>
      <c r="E13" s="50"/>
      <c r="F13" s="50"/>
      <c r="G13" s="6"/>
      <c r="H13" s="7"/>
      <c r="I13" s="8" t="str">
        <f t="shared" si="0"/>
        <v/>
      </c>
    </row>
    <row r="14" spans="1:9">
      <c r="A14" s="46"/>
      <c r="B14" s="47"/>
      <c r="C14" s="48"/>
      <c r="D14" s="49"/>
      <c r="E14" s="50"/>
      <c r="F14" s="50"/>
      <c r="G14" s="6"/>
      <c r="H14" s="7"/>
      <c r="I14" s="8" t="str">
        <f t="shared" si="0"/>
        <v/>
      </c>
    </row>
    <row r="15" spans="1:9">
      <c r="A15" s="46"/>
      <c r="B15" s="47"/>
      <c r="C15" s="48"/>
      <c r="D15" s="49"/>
      <c r="E15" s="50"/>
      <c r="F15" s="50"/>
      <c r="G15" s="6"/>
      <c r="H15" s="7"/>
      <c r="I15" s="8" t="str">
        <f t="shared" si="0"/>
        <v/>
      </c>
    </row>
    <row r="16" spans="1:9">
      <c r="A16" s="46"/>
      <c r="B16" s="47"/>
      <c r="C16" s="48"/>
      <c r="D16" s="49"/>
      <c r="E16" s="50"/>
      <c r="F16" s="50"/>
      <c r="G16" s="6"/>
      <c r="H16" s="7"/>
      <c r="I16" s="8" t="str">
        <f t="shared" si="0"/>
        <v/>
      </c>
    </row>
    <row r="17" spans="1:11">
      <c r="A17" s="46"/>
      <c r="B17" s="47"/>
      <c r="C17" s="48"/>
      <c r="D17" s="49"/>
      <c r="E17" s="50"/>
      <c r="F17" s="5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11</v>
      </c>
      <c r="B19" s="5" t="s">
        <v>12</v>
      </c>
      <c r="C19" s="4" t="s">
        <v>13</v>
      </c>
      <c r="D19" s="16" t="s">
        <v>14</v>
      </c>
      <c r="E19" s="17" t="s">
        <v>15</v>
      </c>
      <c r="F19" s="16" t="s">
        <v>16</v>
      </c>
      <c r="G19" s="51" t="s">
        <v>17</v>
      </c>
      <c r="H19" s="51"/>
      <c r="I19" s="18"/>
    </row>
    <row r="20" spans="1:11">
      <c r="A20" s="19">
        <f>IF(B20&lt;2,"N/A",(STDEV(H3:H17)))</f>
        <v>9560.7064025973868</v>
      </c>
      <c r="B20" s="19">
        <f>COUNT(H3:H17)</f>
        <v>4</v>
      </c>
      <c r="C20" s="20">
        <f>IF(B20&lt;2,"N/A",(A20/D20))</f>
        <v>0.53572635161994187</v>
      </c>
      <c r="D20" s="21">
        <f>ROUND(AVERAGE(H3:H17),2)</f>
        <v>17846.25</v>
      </c>
      <c r="E20" s="22">
        <f>IFERROR(ROUND(IF(B20&lt;2,"N/A",(IF(C20&lt;=25%,"N/A",AVERAGE(I3:I17)))),2),"N/A")</f>
        <v>17846.25</v>
      </c>
      <c r="F20" s="22">
        <f>ROUND(MEDIAN(H3:H17),2)</f>
        <v>20899.5</v>
      </c>
      <c r="G20" s="23" t="str">
        <f>INDEX(G3:G17,MATCH(H20,H3:H17,0))</f>
        <v>33.845.322/0001-90 A GERADORA ALUGUEL</v>
      </c>
      <c r="H20" s="24">
        <f>MIN(H3:H17)</f>
        <v>4076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2"/>
      <c r="E22" s="52"/>
      <c r="F22" s="30"/>
      <c r="G22" s="31" t="s">
        <v>18</v>
      </c>
      <c r="H22" s="32">
        <f>IF(C20&lt;=25%,D20,MIN(E20:F20))</f>
        <v>17846.25</v>
      </c>
    </row>
    <row r="23" spans="1:11">
      <c r="B23" s="25"/>
      <c r="C23" s="25"/>
      <c r="D23" s="52"/>
      <c r="E23" s="52"/>
      <c r="F23" s="33"/>
      <c r="G23" s="4" t="s">
        <v>19</v>
      </c>
      <c r="H23" s="24">
        <f>ROUND(H22,2)*D3</f>
        <v>17846.25</v>
      </c>
    </row>
    <row r="24" spans="1:11">
      <c r="B24" s="29"/>
      <c r="C24" s="29"/>
      <c r="D24" s="18"/>
      <c r="E24" s="18"/>
    </row>
    <row r="26" spans="1:11" ht="12.75" customHeight="1">
      <c r="A26" s="53" t="s">
        <v>20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21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22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23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24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25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26</v>
      </c>
      <c r="B32" s="54"/>
      <c r="C32" s="54"/>
      <c r="D32" s="54"/>
      <c r="E32" s="54"/>
      <c r="F32" s="54"/>
      <c r="G32" s="54"/>
      <c r="H32" s="54"/>
      <c r="I32" s="5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12"/>
  <sheetViews>
    <sheetView tabSelected="1" view="pageBreakPreview" zoomScaleNormal="100" zoomScaleSheetLayoutView="100" workbookViewId="0">
      <selection activeCell="F11" sqref="F11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5.5703125" style="34" customWidth="1"/>
    <col min="7" max="13" width="9.140625" style="35"/>
    <col min="14" max="1023" width="9.140625" style="34"/>
  </cols>
  <sheetData>
    <row r="1" spans="1:6" ht="15.75">
      <c r="A1" s="43"/>
      <c r="B1" s="43"/>
      <c r="C1" s="43"/>
      <c r="D1" s="43"/>
      <c r="E1" s="43"/>
      <c r="F1" s="43"/>
    </row>
    <row r="2" spans="1:6" ht="15.75">
      <c r="A2" s="43"/>
      <c r="B2" s="43"/>
      <c r="C2" s="43"/>
      <c r="D2" s="43"/>
      <c r="E2" s="43"/>
      <c r="F2" s="43"/>
    </row>
    <row r="3" spans="1:6" ht="15.75">
      <c r="A3" s="43"/>
      <c r="B3" s="43"/>
      <c r="C3" s="43"/>
      <c r="D3" s="43"/>
      <c r="E3" s="43"/>
      <c r="F3" s="43"/>
    </row>
    <row r="4" spans="1:6" ht="15.75">
      <c r="A4" s="43"/>
      <c r="B4" s="43"/>
      <c r="C4" s="43"/>
      <c r="D4" s="43"/>
      <c r="E4" s="43"/>
      <c r="F4" s="43"/>
    </row>
    <row r="5" spans="1:6" ht="15.75">
      <c r="A5" s="56" t="s">
        <v>42</v>
      </c>
      <c r="B5" s="56"/>
      <c r="C5" s="56"/>
      <c r="D5" s="56"/>
      <c r="E5" s="56"/>
      <c r="F5" s="56"/>
    </row>
    <row r="6" spans="1:6" ht="15.75">
      <c r="A6" s="56" t="s">
        <v>43</v>
      </c>
      <c r="B6" s="56"/>
      <c r="C6" s="56"/>
      <c r="D6" s="56"/>
      <c r="E6" s="56"/>
      <c r="F6" s="56"/>
    </row>
    <row r="8" spans="1:6" ht="15.75" customHeight="1">
      <c r="A8" s="55" t="s">
        <v>34</v>
      </c>
      <c r="B8" s="55"/>
      <c r="C8" s="55"/>
      <c r="D8" s="55"/>
      <c r="E8" s="55"/>
      <c r="F8" s="55"/>
    </row>
    <row r="9" spans="1:6" ht="25.5">
      <c r="A9" s="36" t="s">
        <v>35</v>
      </c>
      <c r="B9" s="36" t="s">
        <v>36</v>
      </c>
      <c r="C9" s="36" t="s">
        <v>37</v>
      </c>
      <c r="D9" s="36" t="s">
        <v>38</v>
      </c>
      <c r="E9" s="36" t="s">
        <v>39</v>
      </c>
      <c r="F9" s="36" t="s">
        <v>40</v>
      </c>
    </row>
    <row r="10" spans="1:6" ht="25.5">
      <c r="A10" s="37">
        <v>1</v>
      </c>
      <c r="B10" s="38" t="str">
        <f>Item1!B3</f>
        <v>Publicação de aviso de licitação em jornal diário de grande circulação no estado da Bahia, com o formato de 2 col x 5 cm, por 01 (um) dia, em dia útil.</v>
      </c>
      <c r="C10" s="37" t="str">
        <f>Item1!C3</f>
        <v>unidade</v>
      </c>
      <c r="D10" s="37">
        <f>Item1!D3</f>
        <v>15</v>
      </c>
      <c r="E10" s="39">
        <f>Item1!E3</f>
        <v>239.4</v>
      </c>
      <c r="F10" s="39">
        <f>(ROUND(E10,2)*D10)</f>
        <v>3591</v>
      </c>
    </row>
    <row r="11" spans="1:6" ht="25.5">
      <c r="A11" s="37">
        <v>2</v>
      </c>
      <c r="B11" s="38" t="str">
        <f>Item2!B3</f>
        <v>Publicação de aviso de licitação em jornal diário de grande circulação nacional, com o formato de 2 col x 5 cm, por 01 (um) dia, em dia útil.</v>
      </c>
      <c r="C11" s="37" t="str">
        <f>Item2!C3</f>
        <v>unidade</v>
      </c>
      <c r="D11" s="37">
        <f>Item2!D3</f>
        <v>160</v>
      </c>
      <c r="E11" s="39">
        <f>Item2!E3</f>
        <v>383.99</v>
      </c>
      <c r="F11" s="39">
        <f>(ROUND(E11,2)*D11)</f>
        <v>61438.400000000001</v>
      </c>
    </row>
    <row r="12" spans="1:6" ht="15.75" customHeight="1">
      <c r="A12" s="40"/>
      <c r="B12" s="40"/>
      <c r="C12" s="55" t="s">
        <v>41</v>
      </c>
      <c r="D12" s="55"/>
      <c r="E12" s="55"/>
      <c r="F12" s="41">
        <f>SUM(F10:F11)</f>
        <v>65029.4</v>
      </c>
    </row>
  </sheetData>
  <mergeCells count="4">
    <mergeCell ref="A8:F8"/>
    <mergeCell ref="C12:E12"/>
    <mergeCell ref="A5:F5"/>
    <mergeCell ref="A6:F6"/>
  </mergeCells>
  <pageMargins left="0.51180555555555496" right="0.51180555555555496" top="0.78749999999999998" bottom="0.78749999999999998" header="0.51180555555555496" footer="0.51180555555555496"/>
  <pageSetup paperSize="9" scale="91" firstPageNumber="0" fitToHeight="0" orientation="landscape" r:id="rId1"/>
  <headerFooter>
    <oddFooter>&amp;L&amp;"-,Negrito"Estimativa em 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"/>
  <sheetViews>
    <sheetView view="pageBreakPreview" zoomScaleNormal="100" workbookViewId="0">
      <selection activeCell="C13" sqref="C13"/>
    </sheetView>
  </sheetViews>
  <sheetFormatPr defaultColWidth="9.140625" defaultRowHeight="12.75"/>
  <cols>
    <col min="1" max="1" width="9.140625" style="34"/>
    <col min="2" max="2" width="86.85546875" style="34" customWidth="1"/>
    <col min="3" max="4" width="13.28515625" style="42" customWidth="1"/>
    <col min="5" max="5" width="13.28515625" style="34" customWidth="1"/>
    <col min="6" max="6" width="15.5703125" style="34" customWidth="1"/>
    <col min="7" max="14" width="9.140625" style="35"/>
    <col min="15" max="1024" width="9.140625" style="34"/>
  </cols>
  <sheetData>
    <row r="1" spans="1:6" s="35" customFormat="1" ht="15.75" customHeight="1">
      <c r="A1" s="55" t="s">
        <v>44</v>
      </c>
      <c r="B1" s="55"/>
      <c r="C1" s="55"/>
      <c r="D1" s="55"/>
      <c r="E1" s="55"/>
      <c r="F1" s="55"/>
    </row>
    <row r="2" spans="1:6" s="35" customFormat="1" ht="25.5">
      <c r="A2" s="36" t="s">
        <v>35</v>
      </c>
      <c r="B2" s="36" t="s">
        <v>36</v>
      </c>
      <c r="C2" s="36" t="s">
        <v>37</v>
      </c>
      <c r="D2" s="36" t="s">
        <v>38</v>
      </c>
      <c r="E2" s="36" t="s">
        <v>39</v>
      </c>
      <c r="F2" s="36" t="s">
        <v>40</v>
      </c>
    </row>
    <row r="3" spans="1:6" s="35" customFormat="1" ht="17.25">
      <c r="A3" s="44" t="s">
        <v>45</v>
      </c>
      <c r="B3" s="57" t="str">
        <f>Item1!G20</f>
        <v>92.785.989/0001-04 EMPRESA JORNALISTICA J.C. JARROS LTDA.</v>
      </c>
      <c r="C3" s="57"/>
      <c r="D3" s="57"/>
      <c r="E3" s="57"/>
      <c r="F3" s="57"/>
    </row>
    <row r="4" spans="1:6" s="35" customFormat="1" ht="25.5">
      <c r="A4" s="37">
        <v>1</v>
      </c>
      <c r="B4" s="38" t="str">
        <f>Item1!B3</f>
        <v>Publicação de aviso de licitação em jornal diário de grande circulação no estado da Bahia, com o formato de 2 col x 5 cm, por 01 (um) dia, em dia útil.</v>
      </c>
      <c r="C4" s="37" t="str">
        <f>Item1!C3</f>
        <v>unidade</v>
      </c>
      <c r="D4" s="37">
        <f>Item1!D3</f>
        <v>15</v>
      </c>
      <c r="E4" s="39">
        <f>Item1!F3</f>
        <v>187.5</v>
      </c>
      <c r="F4" s="39">
        <f>(ROUND(E4,2)*D4)</f>
        <v>2812.5</v>
      </c>
    </row>
    <row r="5" spans="1:6" s="35" customFormat="1" ht="17.25">
      <c r="A5" s="44" t="s">
        <v>45</v>
      </c>
      <c r="B5" s="57" t="str">
        <f>Item2!G20</f>
        <v>01.527.405/0001-45 W&amp;M PUBLICIDADE LTDA</v>
      </c>
      <c r="C5" s="57"/>
      <c r="D5" s="57"/>
      <c r="E5" s="57"/>
      <c r="F5" s="57"/>
    </row>
    <row r="6" spans="1:6" ht="25.5">
      <c r="A6" s="37">
        <v>2</v>
      </c>
      <c r="B6" s="38" t="str">
        <f>Item2!B3</f>
        <v>Publicação de aviso de licitação em jornal diário de grande circulação nacional, com o formato de 2 col x 5 cm, por 01 (um) dia, em dia útil.</v>
      </c>
      <c r="C6" s="37" t="str">
        <f>Item2!C3</f>
        <v>unidade</v>
      </c>
      <c r="D6" s="37">
        <f>Item2!D3</f>
        <v>160</v>
      </c>
      <c r="E6" s="39">
        <f>Item2!F3</f>
        <v>352</v>
      </c>
      <c r="F6" s="39">
        <f>(ROUND(E6,2)*D6)</f>
        <v>56320</v>
      </c>
    </row>
    <row r="7" spans="1:6" ht="36.75" customHeight="1">
      <c r="A7" s="40"/>
      <c r="B7" s="40"/>
      <c r="C7" s="55" t="s">
        <v>46</v>
      </c>
      <c r="D7" s="55"/>
      <c r="E7" s="55"/>
      <c r="F7" s="41">
        <f>SUM(F4:F6)</f>
        <v>59132.5</v>
      </c>
    </row>
  </sheetData>
  <mergeCells count="4">
    <mergeCell ref="C7:E7"/>
    <mergeCell ref="A1:F1"/>
    <mergeCell ref="B3:F3"/>
    <mergeCell ref="B5:F5"/>
  </mergeCells>
  <pageMargins left="0.51180555555555496" right="0.51180555555555496" top="0.78749999999999998" bottom="0.91249999999999998" header="0.51180555555555496" footer="0.78749999999999998"/>
  <pageSetup paperSize="9" scale="91" firstPageNumber="0" fitToHeight="0" orientation="landscape" r:id="rId1"/>
  <headerFooter>
    <oddFooter>&amp;L&amp;"Calibri,Regular"&amp;9Estimativa em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Item1</vt:lpstr>
      <vt:lpstr>Item2</vt:lpstr>
      <vt:lpstr>Item3</vt:lpstr>
      <vt:lpstr>TOTAL</vt:lpstr>
      <vt:lpstr>menores</vt:lpstr>
      <vt:lpstr>menores!Area_de_impressao</vt:lpstr>
      <vt:lpstr>TOTAL!Area_de_impressao</vt:lpstr>
      <vt:lpstr>menores!Print_Area_0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7</cp:revision>
  <cp:lastPrinted>2021-08-20T20:52:12Z</cp:lastPrinted>
  <dcterms:created xsi:type="dcterms:W3CDTF">2019-01-16T20:04:04Z</dcterms:created>
  <dcterms:modified xsi:type="dcterms:W3CDTF">2021-09-23T16:40:41Z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